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<sst xmlns="http://schemas.openxmlformats.org/spreadsheetml/2006/main" count="60" uniqueCount="60">
  <si>
    <t>CALCULATION OF CYCLE-LIFE PROFILE EFFICIENCY vs. V-min/V-max VOLTAGE RATIO</t>
  </si>
  <si>
    <t>Reference hardware test for basic data:</t>
  </si>
  <si>
    <t xml:space="preserve"> @SOC-min</t>
  </si>
  <si>
    <t xml:space="preserve"> @SOC-cycle</t>
  </si>
  <si>
    <t xml:space="preserve"> @SOC-max</t>
  </si>
  <si>
    <t xml:space="preserve"> Generic cell data</t>
  </si>
  <si>
    <t>Application data:</t>
  </si>
  <si>
    <t xml:space="preserve">Discharge pulse durations (sec) = </t>
  </si>
  <si>
    <t xml:space="preserve">Regenerative pulse power (kW, at EOL) = </t>
  </si>
  <si>
    <t xml:space="preserve">Regenerative pulse duration (sec) = </t>
  </si>
  <si>
    <t>Rated cell energy (Wh, at C/1):</t>
  </si>
  <si>
    <t>OCV' = dOCV/dAH (mohm/sec)</t>
  </si>
  <si>
    <t>SOC = State-of-charge (%)</t>
  </si>
  <si>
    <t>OCV = Open-circuit voltage (V)</t>
  </si>
  <si>
    <t>R-o = Ohmic resistance (mohm)</t>
  </si>
  <si>
    <t>dR-p = Pol. resistance increment (mohm)</t>
  </si>
  <si>
    <t>Tau = Pol. time constant (sec)</t>
  </si>
  <si>
    <t xml:space="preserve">Discharge pulse resistance (mohm) = </t>
  </si>
  <si>
    <t xml:space="preserve">Regenerative pulse resistance (mohm) = </t>
  </si>
  <si>
    <t xml:space="preserve">Minimum operating voltage (V) = </t>
  </si>
  <si>
    <t xml:space="preserve">Maximum operating voltage (V) = </t>
  </si>
  <si>
    <t>PNGV</t>
  </si>
  <si>
    <t>Cycle-Life Profile Data (Const. Curr.)</t>
  </si>
  <si>
    <t>Pulse duration (sec):</t>
  </si>
  <si>
    <t>Discharge</t>
  </si>
  <si>
    <t>Rest</t>
  </si>
  <si>
    <t>Regen-1</t>
  </si>
  <si>
    <t>Regen-2</t>
  </si>
  <si>
    <t>Regen-3</t>
  </si>
  <si>
    <t>Rechg</t>
  </si>
  <si>
    <t>Cumulative duration (sec):</t>
  </si>
  <si>
    <t>Cumulative discharge (A-sec):</t>
  </si>
  <si>
    <t>Pulse discharge current (A)</t>
  </si>
  <si>
    <t>Pol. curr. @ start of pulse (A):</t>
  </si>
  <si>
    <t>App. OCV @ start of pulse (V):</t>
  </si>
  <si>
    <t>R @ start of pulse (mohm):</t>
  </si>
  <si>
    <t>Voltage @ start of pulse (V):</t>
  </si>
  <si>
    <t>Average voltage over pulse (V):</t>
  </si>
  <si>
    <t>Voltage @ end of pulse (V):</t>
  </si>
  <si>
    <t>Profile summary data:</t>
  </si>
  <si>
    <t>dSOC (%) =</t>
  </si>
  <si>
    <t xml:space="preserve">P-dis/P-goal = </t>
  </si>
  <si>
    <t xml:space="preserve">Est. D/T eff. (%) = </t>
  </si>
  <si>
    <t xml:space="preserve">P-r/P-d = </t>
  </si>
  <si>
    <t>Rated max pulse discharge current (A):</t>
  </si>
  <si>
    <t>of max rated )</t>
  </si>
  <si>
    <t>(</t>
  </si>
  <si>
    <t>Pulse dischg energy (kW-sec):</t>
  </si>
  <si>
    <t xml:space="preserve">Pack heating rate (W) = </t>
  </si>
  <si>
    <t>Pwr Asst</t>
  </si>
  <si>
    <t>25-Wh Efficiency &amp; Cycle Life Profile</t>
  </si>
  <si>
    <t>Pulse dischg energy (Wh):</t>
  </si>
  <si>
    <r>
      <t xml:space="preserve">B                                  </t>
    </r>
    <r>
      <rPr>
        <sz val="10"/>
        <rFont val="Arial"/>
        <family val="0"/>
      </rPr>
      <t>Cell basic data:</t>
    </r>
  </si>
  <si>
    <r>
      <t xml:space="preserve">C           </t>
    </r>
    <r>
      <rPr>
        <sz val="10"/>
        <rFont val="Arial"/>
        <family val="0"/>
      </rPr>
      <t xml:space="preserve">Discharge pulse power (kW, at EOL) = </t>
    </r>
  </si>
  <si>
    <r>
      <t xml:space="preserve">D      </t>
    </r>
    <r>
      <rPr>
        <sz val="10"/>
        <rFont val="Arial"/>
        <family val="0"/>
      </rPr>
      <t xml:space="preserve"># of cells assumed to meet appl. targets = </t>
    </r>
  </si>
  <si>
    <r>
      <t xml:space="preserve">E                                         </t>
    </r>
    <r>
      <rPr>
        <sz val="10"/>
        <rFont val="Arial"/>
        <family val="0"/>
      </rPr>
      <t>Pulse type:</t>
    </r>
  </si>
  <si>
    <r>
      <t xml:space="preserve">F       </t>
    </r>
    <r>
      <rPr>
        <sz val="10"/>
        <rFont val="Arial"/>
        <family val="0"/>
      </rPr>
      <t>Average dischg pulse power (kW):</t>
    </r>
  </si>
  <si>
    <r>
      <t xml:space="preserve">H   </t>
    </r>
    <r>
      <rPr>
        <sz val="10"/>
        <rFont val="Arial"/>
        <family val="0"/>
      </rPr>
      <t xml:space="preserve">Round-trip Eff. (%) = </t>
    </r>
  </si>
  <si>
    <r>
      <t xml:space="preserve">G                    </t>
    </r>
    <r>
      <rPr>
        <sz val="10"/>
        <rFont val="Arial"/>
        <family val="0"/>
      </rPr>
      <t xml:space="preserve">V-min/V-max ratio = </t>
    </r>
  </si>
  <si>
    <r>
      <t>A</t>
    </r>
    <r>
      <rPr>
        <sz val="10"/>
        <rFont val="Arial"/>
        <family val="0"/>
      </rPr>
      <t xml:space="preserve">             Rated cell capacity (Ah, at C/1):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</si>
</sst>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0.0000000"/>
  </numFmts>
  <fonts count="3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1" xfId="0" applyBorder="1" applyAlignment="1">
      <alignment/>
    </xf>
    <xf numFmtId="2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7" fontId="0" fillId="0" borderId="2" xfId="0" applyNumberFormat="1" applyBorder="1" applyAlignment="1">
      <alignment horizontal="left"/>
    </xf>
    <xf numFmtId="9" fontId="0" fillId="0" borderId="0" xfId="19" applyAlignment="1">
      <alignment horizontal="center"/>
    </xf>
    <xf numFmtId="1" fontId="0" fillId="0" borderId="0" xfId="0" applyNumberFormat="1" applyAlignment="1">
      <alignment horizontal="lef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2" xfId="0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7" fontId="0" fillId="0" borderId="4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7" xfId="0" applyNumberFormat="1" applyBorder="1" applyAlignment="1">
      <alignment horizontal="center"/>
    </xf>
    <xf numFmtId="167" fontId="0" fillId="0" borderId="9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2" fillId="0" borderId="9" xfId="0" applyFont="1" applyBorder="1" applyAlignment="1">
      <alignment horizontal="right"/>
    </xf>
    <xf numFmtId="166" fontId="0" fillId="0" borderId="1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4" max="4" width="8.421875" style="0" customWidth="1"/>
    <col min="5" max="5" width="0.85546875" style="0" customWidth="1"/>
    <col min="6" max="6" width="11.28125" style="0" customWidth="1"/>
    <col min="7" max="7" width="0.85546875" style="0" customWidth="1"/>
    <col min="8" max="8" width="11.57421875" style="0" customWidth="1"/>
    <col min="9" max="9" width="0.85546875" style="0" customWidth="1"/>
    <col min="10" max="10" width="10.28125" style="0" customWidth="1"/>
    <col min="11" max="11" width="0.71875" style="0" customWidth="1"/>
    <col min="12" max="14" width="9.7109375" style="0" customWidth="1"/>
    <col min="15" max="15" width="12.57421875" style="0" customWidth="1"/>
  </cols>
  <sheetData>
    <row r="1" ht="12.75">
      <c r="C1" t="s">
        <v>0</v>
      </c>
    </row>
    <row r="2" ht="12.75">
      <c r="P2" s="2" t="s">
        <v>21</v>
      </c>
    </row>
    <row r="3" spans="1:17" ht="13.5" thickBot="1">
      <c r="A3" s="5"/>
      <c r="B3" s="5"/>
      <c r="C3" s="5"/>
      <c r="D3" s="6" t="s">
        <v>1</v>
      </c>
      <c r="F3" t="s">
        <v>5</v>
      </c>
      <c r="L3" s="5" t="s">
        <v>6</v>
      </c>
      <c r="M3" s="5"/>
      <c r="P3" s="7" t="s">
        <v>49</v>
      </c>
      <c r="Q3" s="4"/>
    </row>
    <row r="4" spans="4:16" ht="13.5" thickBot="1">
      <c r="D4" s="1"/>
      <c r="L4" s="15"/>
      <c r="M4" s="16"/>
      <c r="N4" s="16"/>
      <c r="O4" s="36" t="s">
        <v>53</v>
      </c>
      <c r="P4" s="18">
        <v>25</v>
      </c>
    </row>
    <row r="5" spans="1:16" ht="12.75">
      <c r="A5" s="15"/>
      <c r="B5" s="16"/>
      <c r="C5" s="16"/>
      <c r="D5" s="36" t="s">
        <v>59</v>
      </c>
      <c r="E5" s="16"/>
      <c r="F5" s="18">
        <v>6.25</v>
      </c>
      <c r="L5" s="19"/>
      <c r="M5" s="4"/>
      <c r="N5" s="4"/>
      <c r="O5" s="20" t="s">
        <v>7</v>
      </c>
      <c r="P5" s="21">
        <v>18</v>
      </c>
    </row>
    <row r="6" spans="1:16" ht="12.75">
      <c r="A6" s="19"/>
      <c r="B6" s="4"/>
      <c r="C6" s="4"/>
      <c r="D6" s="20" t="s">
        <v>10</v>
      </c>
      <c r="E6" s="4"/>
      <c r="F6" s="21">
        <v>21.9</v>
      </c>
      <c r="L6" s="19"/>
      <c r="M6" s="4"/>
      <c r="N6" s="4"/>
      <c r="O6" s="20" t="s">
        <v>8</v>
      </c>
      <c r="P6" s="21">
        <v>30</v>
      </c>
    </row>
    <row r="7" spans="1:16" ht="13.5" thickBot="1">
      <c r="A7" s="22"/>
      <c r="B7" s="23"/>
      <c r="C7" s="23"/>
      <c r="D7" s="24" t="s">
        <v>44</v>
      </c>
      <c r="E7" s="23"/>
      <c r="F7" s="25">
        <v>125</v>
      </c>
      <c r="L7" s="22"/>
      <c r="M7" s="23"/>
      <c r="N7" s="23"/>
      <c r="O7" s="24" t="s">
        <v>9</v>
      </c>
      <c r="P7" s="25">
        <v>10</v>
      </c>
    </row>
    <row r="8" ht="13.5" thickBot="1"/>
    <row r="9" spans="1:16" ht="13.5" thickBot="1">
      <c r="A9" s="15"/>
      <c r="B9" s="16"/>
      <c r="C9" s="16"/>
      <c r="D9" s="36" t="s">
        <v>52</v>
      </c>
      <c r="E9" s="16"/>
      <c r="F9" s="26" t="s">
        <v>4</v>
      </c>
      <c r="G9" s="27"/>
      <c r="H9" s="26" t="s">
        <v>3</v>
      </c>
      <c r="I9" s="27"/>
      <c r="J9" s="28" t="s">
        <v>2</v>
      </c>
      <c r="L9" s="9"/>
      <c r="M9" s="34"/>
      <c r="N9" s="34"/>
      <c r="O9" s="37" t="s">
        <v>54</v>
      </c>
      <c r="P9" s="35">
        <v>72</v>
      </c>
    </row>
    <row r="10" spans="1:10" ht="12.75">
      <c r="A10" s="19"/>
      <c r="B10" s="4"/>
      <c r="C10" s="4"/>
      <c r="D10" s="20" t="s">
        <v>12</v>
      </c>
      <c r="E10" s="4"/>
      <c r="F10" s="29">
        <v>80</v>
      </c>
      <c r="G10" s="29"/>
      <c r="H10" s="29">
        <v>55</v>
      </c>
      <c r="I10" s="29"/>
      <c r="J10" s="21">
        <v>30</v>
      </c>
    </row>
    <row r="11" spans="1:16" ht="12.75">
      <c r="A11" s="19"/>
      <c r="B11" s="4"/>
      <c r="C11" s="4"/>
      <c r="D11" s="20" t="s">
        <v>13</v>
      </c>
      <c r="E11" s="4"/>
      <c r="F11" s="29">
        <v>3.78</v>
      </c>
      <c r="G11" s="29"/>
      <c r="H11" s="29">
        <v>3.78</v>
      </c>
      <c r="I11" s="29"/>
      <c r="J11" s="21">
        <v>3.78</v>
      </c>
      <c r="O11" s="1" t="s">
        <v>17</v>
      </c>
      <c r="P11" s="3">
        <f>J12-J13*P5+J14*(1-EXP(-P5/J15))</f>
        <v>7.247043557690924</v>
      </c>
    </row>
    <row r="12" spans="1:16" ht="13.5" thickBot="1">
      <c r="A12" s="19"/>
      <c r="B12" s="4"/>
      <c r="C12" s="4"/>
      <c r="D12" s="20" t="s">
        <v>14</v>
      </c>
      <c r="E12" s="4"/>
      <c r="F12" s="29">
        <v>4</v>
      </c>
      <c r="G12" s="29"/>
      <c r="H12" s="29">
        <v>4</v>
      </c>
      <c r="I12" s="29"/>
      <c r="J12" s="21">
        <v>4</v>
      </c>
      <c r="O12" s="1" t="s">
        <v>18</v>
      </c>
      <c r="P12" s="3">
        <f>F12-F13*P7+F14*(1-EXP(-P7/F15))</f>
        <v>6.342785788251385</v>
      </c>
    </row>
    <row r="13" spans="1:16" ht="12.75">
      <c r="A13" s="19"/>
      <c r="B13" s="4"/>
      <c r="C13" s="4"/>
      <c r="D13" s="20" t="s">
        <v>11</v>
      </c>
      <c r="E13" s="4"/>
      <c r="F13" s="29">
        <v>-0.032</v>
      </c>
      <c r="G13" s="29"/>
      <c r="H13" s="29">
        <v>-0.032</v>
      </c>
      <c r="I13" s="29"/>
      <c r="J13" s="21">
        <v>-0.032</v>
      </c>
      <c r="M13" s="15"/>
      <c r="N13" s="16"/>
      <c r="O13" s="17" t="s">
        <v>19</v>
      </c>
      <c r="P13" s="44">
        <f>(J11+SQRT(J11^2-4*P4*P11/P9))/2</f>
        <v>2.9175044678040667</v>
      </c>
    </row>
    <row r="14" spans="1:16" ht="12.75">
      <c r="A14" s="19"/>
      <c r="B14" s="4"/>
      <c r="C14" s="4"/>
      <c r="D14" s="20" t="s">
        <v>15</v>
      </c>
      <c r="E14" s="4"/>
      <c r="F14" s="30">
        <v>3.2</v>
      </c>
      <c r="G14" s="29"/>
      <c r="H14" s="30">
        <v>3.2</v>
      </c>
      <c r="I14" s="29"/>
      <c r="J14" s="31">
        <v>3.2</v>
      </c>
      <c r="M14" s="19"/>
      <c r="N14" s="4"/>
      <c r="O14" s="20" t="s">
        <v>20</v>
      </c>
      <c r="P14" s="45">
        <f>(F11+SQRT(F11^2+4*P6*P12/P9))/2</f>
        <v>4.382975613954418</v>
      </c>
    </row>
    <row r="15" spans="1:16" ht="13.5" thickBot="1">
      <c r="A15" s="22"/>
      <c r="B15" s="23"/>
      <c r="C15" s="23"/>
      <c r="D15" s="24" t="s">
        <v>16</v>
      </c>
      <c r="E15" s="23"/>
      <c r="F15" s="32">
        <v>10</v>
      </c>
      <c r="G15" s="32"/>
      <c r="H15" s="32">
        <v>10</v>
      </c>
      <c r="I15" s="32"/>
      <c r="J15" s="25">
        <v>10</v>
      </c>
      <c r="M15" s="22"/>
      <c r="N15" s="23"/>
      <c r="O15" s="46" t="s">
        <v>58</v>
      </c>
      <c r="P15" s="47">
        <f>P13/P14</f>
        <v>0.6656446954702149</v>
      </c>
    </row>
    <row r="17" spans="1:6" ht="12.75">
      <c r="A17" s="5"/>
      <c r="B17" s="5"/>
      <c r="C17" s="5"/>
      <c r="D17" s="6" t="s">
        <v>22</v>
      </c>
      <c r="F17" t="s">
        <v>50</v>
      </c>
    </row>
    <row r="18" ht="13.5" thickBot="1"/>
    <row r="19" spans="1:14" ht="12.75">
      <c r="A19" s="15"/>
      <c r="B19" s="16"/>
      <c r="C19" s="16"/>
      <c r="D19" s="36" t="s">
        <v>55</v>
      </c>
      <c r="E19" s="16"/>
      <c r="F19" s="27" t="s">
        <v>24</v>
      </c>
      <c r="G19" s="27"/>
      <c r="H19" s="27" t="s">
        <v>25</v>
      </c>
      <c r="I19" s="27"/>
      <c r="J19" s="27" t="s">
        <v>26</v>
      </c>
      <c r="K19" s="27"/>
      <c r="L19" s="27" t="s">
        <v>27</v>
      </c>
      <c r="M19" s="27" t="s">
        <v>28</v>
      </c>
      <c r="N19" s="18" t="s">
        <v>29</v>
      </c>
    </row>
    <row r="20" spans="1:14" ht="12.75">
      <c r="A20" s="19"/>
      <c r="B20" s="4"/>
      <c r="C20" s="4"/>
      <c r="D20" s="20" t="s">
        <v>23</v>
      </c>
      <c r="E20" s="4"/>
      <c r="F20" s="29">
        <v>9</v>
      </c>
      <c r="G20" s="29"/>
      <c r="H20" s="29">
        <v>27</v>
      </c>
      <c r="I20" s="29"/>
      <c r="J20" s="29">
        <v>2</v>
      </c>
      <c r="K20" s="29"/>
      <c r="L20" s="29">
        <v>4</v>
      </c>
      <c r="M20" s="29">
        <v>4</v>
      </c>
      <c r="N20" s="21">
        <v>26</v>
      </c>
    </row>
    <row r="21" spans="1:14" ht="13.5" thickBot="1">
      <c r="A21" s="22"/>
      <c r="B21" s="23"/>
      <c r="C21" s="23"/>
      <c r="D21" s="24" t="s">
        <v>32</v>
      </c>
      <c r="E21" s="23"/>
      <c r="F21" s="32">
        <v>38.75</v>
      </c>
      <c r="G21" s="32"/>
      <c r="H21" s="32">
        <v>0</v>
      </c>
      <c r="I21" s="32"/>
      <c r="J21" s="32">
        <v>-55.3</v>
      </c>
      <c r="K21" s="32"/>
      <c r="L21" s="32">
        <v>-38.4</v>
      </c>
      <c r="M21" s="32">
        <v>-21.2</v>
      </c>
      <c r="N21" s="33">
        <f>-M24/N20</f>
        <v>0.00961538461538407</v>
      </c>
    </row>
    <row r="22" spans="5:14" ht="12.75">
      <c r="E22" t="s">
        <v>46</v>
      </c>
      <c r="F22" s="13">
        <f>F21/F7</f>
        <v>0.31</v>
      </c>
      <c r="G22" s="2"/>
      <c r="H22" s="2" t="s">
        <v>45</v>
      </c>
      <c r="I22" s="2"/>
      <c r="J22" s="2"/>
      <c r="K22" s="2"/>
      <c r="L22" s="2"/>
      <c r="M22" s="2"/>
      <c r="N22" s="2"/>
    </row>
    <row r="23" spans="4:14" ht="12.75">
      <c r="D23" s="1" t="s">
        <v>30</v>
      </c>
      <c r="F23" s="2">
        <f>F20</f>
        <v>9</v>
      </c>
      <c r="G23" s="2"/>
      <c r="H23" s="2">
        <f>F23+H20</f>
        <v>36</v>
      </c>
      <c r="I23" s="2"/>
      <c r="J23" s="2">
        <f>H23+J20</f>
        <v>38</v>
      </c>
      <c r="K23" s="2"/>
      <c r="L23" s="2">
        <f>J23+L20</f>
        <v>42</v>
      </c>
      <c r="M23" s="2">
        <f>L23+M20</f>
        <v>46</v>
      </c>
      <c r="N23" s="2">
        <f>M23+N20</f>
        <v>72</v>
      </c>
    </row>
    <row r="24" spans="4:14" ht="12.75">
      <c r="D24" s="1" t="s">
        <v>31</v>
      </c>
      <c r="F24" s="2">
        <f>F20*F21</f>
        <v>348.75</v>
      </c>
      <c r="G24" s="2"/>
      <c r="H24" s="2">
        <f>F24+H20*H21</f>
        <v>348.75</v>
      </c>
      <c r="I24" s="2"/>
      <c r="J24" s="2">
        <f>H24+J20*J21</f>
        <v>238.15</v>
      </c>
      <c r="K24" s="2"/>
      <c r="L24" s="2">
        <f>J24+L20*L21</f>
        <v>84.55000000000001</v>
      </c>
      <c r="M24" s="2">
        <f>L24+M20*M21</f>
        <v>-0.2499999999999858</v>
      </c>
      <c r="N24" s="2">
        <f>M24+N20*N21</f>
        <v>0</v>
      </c>
    </row>
    <row r="26" spans="4:14" ht="12.75">
      <c r="D26" s="1" t="s">
        <v>33</v>
      </c>
      <c r="F26" s="8">
        <f>(F21*(1-EXP(-F20/H15))*EXP(-(H20+J20+L20+M20+N20)/H15)+H21*(1-EXP(-H20/H15))*EXP(-(J20+L20+M20+N20)/H15)+J21*(1-EXP(-J20/H15))*EXP(-(L20+M20+N20)/H15)+L21*(1-EXP(-L20/H15))*EXP(-(M20+N20)/H15)+M21*(1-EXP(-M20/H15))*EXP(-N20/H15)+N21*(1-EXP(-N20/H15)))/(1-EXP(-N23/H15))</f>
        <v>-1.433886538776677</v>
      </c>
      <c r="G26" s="8"/>
      <c r="H26" s="8">
        <f>F21*(1-EXP(-F20/$H15))+F26*EXP(-F20/$H15)</f>
        <v>22.412450922874726</v>
      </c>
      <c r="I26" s="8"/>
      <c r="J26" s="8">
        <f>H21*(1-EXP(-H20/$H15))+H26*EXP(-H20/$H15)</f>
        <v>1.5062402560262735</v>
      </c>
      <c r="K26" s="8"/>
      <c r="L26" s="8">
        <f>J21*(1-EXP(-J20/$H15))+J26*EXP(-J20/$H15)</f>
        <v>-8.790984135654842</v>
      </c>
      <c r="M26" s="8">
        <f>L21*(1-EXP(-L20/$H15))+L26*EXP(-L20/$H15)</f>
        <v>-18.552483122742178</v>
      </c>
      <c r="N26" s="8">
        <f>M21*(1-EXP(-M20/$H15))+M26*EXP(-M20/$H15)</f>
        <v>-19.425316364956405</v>
      </c>
    </row>
    <row r="27" spans="4:14" ht="12.75">
      <c r="D27" s="1" t="s">
        <v>34</v>
      </c>
      <c r="F27" s="8">
        <f>($H11-F26*$H14/1000)*$P$9</f>
        <v>272.49036745853414</v>
      </c>
      <c r="H27" s="8">
        <f>($H11-H26*$H14/1000)*$P$9</f>
        <v>266.99617130736965</v>
      </c>
      <c r="J27" s="8">
        <f>($H11-J26*$H14/1000)*$P$9</f>
        <v>271.81296224501153</v>
      </c>
      <c r="L27" s="8">
        <f>($H11-L26*$H14/1000)*$P$9</f>
        <v>274.18544274485487</v>
      </c>
      <c r="M27" s="8">
        <f>($H11-M26*$H14/1000)*$P$9</f>
        <v>276.4344921114798</v>
      </c>
      <c r="N27" s="8">
        <f>($H11-N26*$H14/1000)*$P$9</f>
        <v>276.63559289048595</v>
      </c>
    </row>
    <row r="28" spans="4:14" ht="12.75">
      <c r="D28" s="1" t="s">
        <v>35</v>
      </c>
      <c r="F28" s="2">
        <f>$H12*$P$9</f>
        <v>288</v>
      </c>
      <c r="H28" s="2">
        <f>$H12*$P$9</f>
        <v>288</v>
      </c>
      <c r="J28" s="2">
        <f>$H12*$P$9</f>
        <v>288</v>
      </c>
      <c r="L28" s="2">
        <f>$H12*$P$9</f>
        <v>288</v>
      </c>
      <c r="M28" s="2">
        <f>$H12*$P$9</f>
        <v>288</v>
      </c>
      <c r="N28" s="2">
        <f>$H12*$P$9</f>
        <v>288</v>
      </c>
    </row>
    <row r="29" spans="4:14" ht="12.75">
      <c r="D29" s="1" t="s">
        <v>36</v>
      </c>
      <c r="F29" s="8">
        <f>F27-F21*F28/1000</f>
        <v>261.3303674585341</v>
      </c>
      <c r="H29" s="8">
        <f>H27-H21*H28/1000</f>
        <v>266.99617130736965</v>
      </c>
      <c r="J29" s="8">
        <f>J27-J21*J28/1000</f>
        <v>287.73936224501153</v>
      </c>
      <c r="L29" s="8">
        <f>L27-L21*L28/1000</f>
        <v>285.24464274485484</v>
      </c>
      <c r="M29" s="8">
        <f>M27-M21*M28/1000</f>
        <v>282.5400921114798</v>
      </c>
      <c r="N29" s="8">
        <f>N27-N21*N28/1000</f>
        <v>276.63282365971673</v>
      </c>
    </row>
    <row r="30" spans="4:14" ht="12.75">
      <c r="D30" s="1" t="s">
        <v>37</v>
      </c>
      <c r="F30" s="8">
        <f>($H11-F26*$H14*$H15/F20*(1-EXP(-F20/$H15))/1000-F21*($H12-$H13*F20/2+$H14*(1-$H15/F20*(1-EXP(-F20/$H15))))/1000)*$P$9</f>
        <v>257.7749023901828</v>
      </c>
      <c r="H30" s="8">
        <f>($H11-H26*$H14*$H15/H20*(1-EXP(-H20/$H15))/1000-H21*($H12-$H13*H20/2+$H14*(1-$H15/H20*(1-EXP(-H20/$H15))))/1000)*$P$9</f>
        <v>270.37600335642895</v>
      </c>
      <c r="J30" s="8">
        <f>($H11-J26*$H14*$H15/J20*(1-EXP(-J20/$H15))/1000-J21*($H12-$H13*J20/2+$H14*(1-$H15/J20*(1-EXP(-J20/$H15))))/1000)*$P$9</f>
        <v>289.0925287007833</v>
      </c>
      <c r="L30" s="8">
        <f>($H11-L26*$H14*$H15/L20*(1-EXP(-L20/$H15))/1000-L21*($H12-$H13*L20/2+$H14*(1-$H15/L20*(1-EXP(-L20/$H15))))/1000)*$P$9</f>
        <v>286.62088378343765</v>
      </c>
      <c r="M30" s="8">
        <f>($H11-M26*$H14*$H15/M20*(1-EXP(-M20/$H15))/1000-M21*($H12-$H13*M20/2+$H14*(1-$H15/M20*(1-EXP(-M20/$H15))))/1000)*$P$9</f>
        <v>282.7450176524846</v>
      </c>
      <c r="N30" s="8">
        <f>($H11-N26*$H14*$H15/N20*(1-EXP(-N20/$H15))/1000-N21*($H12-$H13*N20/2+$H14*(1-$H15/N20*(1-EXP(-N20/$H15))))/1000)*$P$9</f>
        <v>273.74904485844297</v>
      </c>
    </row>
    <row r="31" spans="4:14" ht="12.75">
      <c r="D31" s="1" t="s">
        <v>38</v>
      </c>
      <c r="F31" s="8">
        <f>(($H11-F26*$H14*EXP(-F20/$H15)/1000)-F21*($H12-$H13*F20+$H14*(1-EXP(-F20/$H15)))/1000)*$P$9</f>
        <v>255.03265130736963</v>
      </c>
      <c r="H31" s="8">
        <f>(($H11-H26*$H14*EXP(-H20/$H15)/1000)-H21*($H12-$H13*H20+$H14*(1-EXP(-H20/$H15)))/1000)*$P$9</f>
        <v>271.81296224501153</v>
      </c>
      <c r="J31" s="8">
        <f>(($H11-J26*$H14*EXP(-J20/$H15)/1000)-J21*($H12-$H13*J20+$H14*(1-EXP(-J20/$H15)))/1000)*$P$9</f>
        <v>290.36666514485484</v>
      </c>
      <c r="L31" s="8">
        <f>(($H11-L26*$H14*EXP(-L20/$H15)/1000)-L21*($H12-$H13*L20+$H14*(1-EXP(-L20/$H15)))/1000)*$P$9</f>
        <v>287.8475865114798</v>
      </c>
      <c r="M31" s="8">
        <f>(($H11-M26*$H14*EXP(-M20/$H15)/1000)-M21*($H12-$H13*M20+$H14*(1-EXP(-M20/$H15)))/1000)*$P$9</f>
        <v>282.936572090486</v>
      </c>
      <c r="N31" s="8">
        <f>(($H11-N26*$H14*EXP(-N20/$H15)/1000)-N21*($H12-$H13*N20+$H14*(1-EXP(-N20/$H15)))/1000)*$P$9</f>
        <v>272.4870222277649</v>
      </c>
    </row>
    <row r="32" ht="13.5" thickBot="1"/>
    <row r="33" spans="1:14" ht="12.75">
      <c r="A33" s="15"/>
      <c r="B33" s="16"/>
      <c r="C33" s="16"/>
      <c r="D33" s="36" t="s">
        <v>56</v>
      </c>
      <c r="E33" s="16"/>
      <c r="F33" s="38">
        <f>F21*F30/1000</f>
        <v>9.988777467619583</v>
      </c>
      <c r="G33" s="16"/>
      <c r="H33" s="38">
        <f>H21*H30/1000</f>
        <v>0</v>
      </c>
      <c r="I33" s="16"/>
      <c r="J33" s="38">
        <f>J21*J30/1000</f>
        <v>-15.986816837153315</v>
      </c>
      <c r="K33" s="16"/>
      <c r="L33" s="38">
        <f>L21*L30/1000</f>
        <v>-11.006241937284004</v>
      </c>
      <c r="M33" s="38">
        <f>M21*M30/1000</f>
        <v>-5.994194374232673</v>
      </c>
      <c r="N33" s="39">
        <f>N21*N30/1000</f>
        <v>0.0026322023544079563</v>
      </c>
    </row>
    <row r="34" spans="1:14" ht="12.75">
      <c r="A34" s="19"/>
      <c r="B34" s="4"/>
      <c r="C34" s="4"/>
      <c r="D34" s="20" t="s">
        <v>47</v>
      </c>
      <c r="E34" s="4"/>
      <c r="F34" s="40">
        <f>F33*F20</f>
        <v>89.89899720857625</v>
      </c>
      <c r="G34" s="4"/>
      <c r="H34" s="40">
        <f>H33*H20</f>
        <v>0</v>
      </c>
      <c r="I34" s="4"/>
      <c r="J34" s="40">
        <f>J33*J20</f>
        <v>-31.97363367430663</v>
      </c>
      <c r="K34" s="4"/>
      <c r="L34" s="40">
        <f>L33*L20</f>
        <v>-44.02496774913602</v>
      </c>
      <c r="M34" s="40">
        <f>M33*M20</f>
        <v>-23.97677749693069</v>
      </c>
      <c r="N34" s="41">
        <f>N33*N20</f>
        <v>0.06843726121460686</v>
      </c>
    </row>
    <row r="35" spans="1:14" ht="13.5" thickBot="1">
      <c r="A35" s="22"/>
      <c r="B35" s="23"/>
      <c r="C35" s="23"/>
      <c r="D35" s="24" t="s">
        <v>51</v>
      </c>
      <c r="E35" s="23"/>
      <c r="F35" s="42">
        <f>F34/3.6</f>
        <v>24.971943669048958</v>
      </c>
      <c r="G35" s="42"/>
      <c r="H35" s="42">
        <f>H34/3.6</f>
        <v>0</v>
      </c>
      <c r="I35" s="42"/>
      <c r="J35" s="42">
        <f>J34/3.6</f>
        <v>-8.881564909529619</v>
      </c>
      <c r="K35" s="42"/>
      <c r="L35" s="42">
        <f>L34/3.6</f>
        <v>-12.229157708093338</v>
      </c>
      <c r="M35" s="42">
        <f>M34/3.6</f>
        <v>-6.660215971369636</v>
      </c>
      <c r="N35" s="43">
        <f>N34/3.6</f>
        <v>0.019010350337390795</v>
      </c>
    </row>
    <row r="36" spans="4:14" ht="13.5" thickBot="1">
      <c r="D36" s="1"/>
      <c r="F36" s="8"/>
      <c r="G36" s="8"/>
      <c r="H36" s="8"/>
      <c r="I36" s="8"/>
      <c r="J36" s="8"/>
      <c r="K36" s="8"/>
      <c r="L36" s="8"/>
      <c r="M36" s="8"/>
      <c r="N36" s="8"/>
    </row>
    <row r="37" spans="2:16" ht="13.5" thickBot="1">
      <c r="B37" s="5"/>
      <c r="C37" s="5"/>
      <c r="D37" s="6" t="s">
        <v>39</v>
      </c>
      <c r="F37" t="s">
        <v>40</v>
      </c>
      <c r="H37" s="10">
        <f>100*F24/F5/3600</f>
        <v>1.55</v>
      </c>
      <c r="L37" s="1" t="s">
        <v>41</v>
      </c>
      <c r="M37" s="10">
        <f>F33/P4</f>
        <v>0.39955109870478334</v>
      </c>
      <c r="N37" s="9"/>
      <c r="O37" s="37" t="s">
        <v>57</v>
      </c>
      <c r="P37" s="12">
        <f>-100*F34/(J34+L34+M34+N34)</f>
        <v>89.98273364755228</v>
      </c>
    </row>
    <row r="38" spans="6:16" ht="12.75">
      <c r="F38" s="1" t="s">
        <v>43</v>
      </c>
      <c r="H38" s="10">
        <f>-J33/F33</f>
        <v>1.6004778251370055</v>
      </c>
      <c r="L38" s="1" t="s">
        <v>48</v>
      </c>
      <c r="M38" s="14">
        <f>F34/N23*(100-P37)/P37*1000</f>
        <v>138.99922848031224</v>
      </c>
      <c r="O38" s="1" t="s">
        <v>42</v>
      </c>
      <c r="P38" s="11">
        <f>100*SQRT(-(J34+L34+M34)/F34)</f>
        <v>105.4554685736441</v>
      </c>
    </row>
  </sheetData>
  <printOptions/>
  <pageMargins left="0.69" right="0.64" top="0.9" bottom="0.83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Haskins</dc:creator>
  <cp:keywords/>
  <dc:description/>
  <cp:lastModifiedBy>Gary L. Hunt</cp:lastModifiedBy>
  <cp:lastPrinted>2000-09-25T07:47:14Z</cp:lastPrinted>
  <dcterms:created xsi:type="dcterms:W3CDTF">2000-08-14T15:18:17Z</dcterms:created>
  <dcterms:modified xsi:type="dcterms:W3CDTF">2000-09-23T18:27:43Z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